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10" windowWidth="20730" windowHeight="11460"/>
  </bookViews>
  <sheets>
    <sheet name="Weights &amp; Centers Summary" sheetId="6" r:id="rId1"/>
    <sheet name="Keel" sheetId="9" r:id="rId2"/>
    <sheet name="Buoyancy Pod" sheetId="10" r:id="rId3"/>
    <sheet name="DataSub" sheetId="11" r:id="rId4"/>
  </sheets>
  <calcPr calcId="145621"/>
</workbook>
</file>

<file path=xl/calcChain.xml><?xml version="1.0" encoding="utf-8"?>
<calcChain xmlns="http://schemas.openxmlformats.org/spreadsheetml/2006/main">
  <c r="G9" i="6" l="1"/>
  <c r="G5" i="6"/>
  <c r="E5" i="6"/>
  <c r="E9" i="6"/>
  <c r="G10" i="6"/>
  <c r="G6" i="6"/>
  <c r="D44" i="11"/>
  <c r="D43" i="11"/>
  <c r="D18" i="11"/>
  <c r="D16" i="11"/>
  <c r="D15" i="11"/>
  <c r="D17" i="11" s="1"/>
  <c r="D14" i="11"/>
  <c r="D20" i="11" s="1"/>
  <c r="G13" i="11"/>
  <c r="D13" i="11"/>
  <c r="D5" i="11"/>
  <c r="D6" i="11" s="1"/>
  <c r="D4" i="11"/>
  <c r="D28" i="11" s="1"/>
  <c r="D29" i="11" s="1"/>
  <c r="D21" i="11" l="1"/>
  <c r="D32" i="11"/>
  <c r="D23" i="11"/>
  <c r="D25" i="11" s="1"/>
  <c r="D31" i="11" s="1"/>
  <c r="D36" i="11" s="1"/>
  <c r="D8" i="11"/>
  <c r="D10" i="11" s="1"/>
  <c r="D33" i="11" s="1"/>
  <c r="D40" i="11" s="1"/>
  <c r="G8" i="6" l="1"/>
  <c r="I8" i="6"/>
  <c r="B7" i="10"/>
  <c r="B10" i="10"/>
  <c r="B5" i="10"/>
  <c r="B9" i="10" s="1"/>
  <c r="B18" i="9"/>
  <c r="B16" i="9"/>
  <c r="B15" i="9"/>
  <c r="B12" i="10" l="1"/>
  <c r="B14" i="10" l="1"/>
  <c r="I10" i="6"/>
  <c r="B13" i="10"/>
  <c r="I6" i="6" s="1"/>
  <c r="B7" i="9" l="1"/>
  <c r="B13" i="9"/>
  <c r="E10" i="6"/>
  <c r="F10" i="6"/>
  <c r="F9" i="6"/>
  <c r="F8" i="6"/>
  <c r="E8" i="6"/>
  <c r="D8" i="6"/>
  <c r="D9" i="6"/>
  <c r="D10" i="6"/>
  <c r="D6" i="6"/>
  <c r="E6" i="6"/>
  <c r="F6" i="6"/>
  <c r="F5" i="6"/>
  <c r="F4" i="6"/>
  <c r="E4" i="6"/>
  <c r="D5" i="6" l="1"/>
  <c r="D4" i="6"/>
  <c r="B19" i="9" l="1"/>
  <c r="B20" i="9" s="1"/>
  <c r="B14" i="9"/>
  <c r="J6" i="6" l="1"/>
  <c r="J5" i="6" l="1"/>
  <c r="J4" i="6"/>
  <c r="J10" i="6" l="1"/>
  <c r="J8" i="6" l="1"/>
  <c r="J11" i="6"/>
  <c r="J9" i="6"/>
</calcChain>
</file>

<file path=xl/sharedStrings.xml><?xml version="1.0" encoding="utf-8"?>
<sst xmlns="http://schemas.openxmlformats.org/spreadsheetml/2006/main" count="155" uniqueCount="101">
  <si>
    <t>m</t>
  </si>
  <si>
    <t>deg</t>
  </si>
  <si>
    <t>Notes</t>
  </si>
  <si>
    <t>kN</t>
  </si>
  <si>
    <t>Buoyancy</t>
  </si>
  <si>
    <t>Weight</t>
  </si>
  <si>
    <t>Length</t>
  </si>
  <si>
    <t>lb</t>
  </si>
  <si>
    <t>in</t>
  </si>
  <si>
    <t>Total</t>
  </si>
  <si>
    <t>m^2</t>
  </si>
  <si>
    <t>kg</t>
  </si>
  <si>
    <t>Fwd Mooring</t>
  </si>
  <si>
    <t>Aft Mooring</t>
  </si>
  <si>
    <t>Buoyancy Pod Buoyancy</t>
  </si>
  <si>
    <t>Power Pod</t>
  </si>
  <si>
    <t>Keel</t>
  </si>
  <si>
    <t>Buoyancy Pod</t>
  </si>
  <si>
    <t>Calculated Net Buoyancy (kN)</t>
  </si>
  <si>
    <t>Weight (kN)</t>
  </si>
  <si>
    <t>Net Buoyancy</t>
  </si>
  <si>
    <t>Z Distance from Rotor Axis (m)</t>
  </si>
  <si>
    <t>X Distance from Rotor Ref. Point (m)</t>
  </si>
  <si>
    <t>DataSub</t>
  </si>
  <si>
    <t>DataSub properies are based on  Creo model (TM 10/29/2014)</t>
  </si>
  <si>
    <t>Fore &amp; Aft Mooring properties are based on measured tow tank saturated lines - tow tank mooring hardware scaled from 1.2MW by PCCI</t>
  </si>
  <si>
    <t>Referance Rotor Diameter</t>
  </si>
  <si>
    <t>Target Rotor Diamater</t>
  </si>
  <si>
    <t>CG - X (m)</t>
  </si>
  <si>
    <t>CG - Z (m)</t>
  </si>
  <si>
    <t>CB - X (m)</t>
  </si>
  <si>
    <t>CB - Z (m)</t>
  </si>
  <si>
    <t>Buoyancy (kN)</t>
  </si>
  <si>
    <t>Net Buoyancy (kN)</t>
  </si>
  <si>
    <t>Power Pod properties are based on 1.2 MW 45.5m TRB Solidworks model (TM 4-12-2013). 1.2 MW scale wet bearing conceptual design is ~90,000 kg more massive and moves CG aft ~1.75m.</t>
  </si>
  <si>
    <t>Max Torque at 2.2mps</t>
  </si>
  <si>
    <t>kN*m</t>
  </si>
  <si>
    <t>Torque at Design TSR and 1.6mps</t>
  </si>
  <si>
    <t>Rotor Radius</t>
  </si>
  <si>
    <t>Keel Moment Arm</t>
  </si>
  <si>
    <t>Torque at 500kW and 2.2mps</t>
  </si>
  <si>
    <t>Keel Wet Weight</t>
  </si>
  <si>
    <t>Keel Dry Weight</t>
  </si>
  <si>
    <t>m^3</t>
  </si>
  <si>
    <t>Keel Density (Steel)</t>
  </si>
  <si>
    <t>Seawater Density</t>
  </si>
  <si>
    <t>kg/m^3</t>
  </si>
  <si>
    <t>Keel Buoynacy</t>
  </si>
  <si>
    <t>Keel Torque Reaction (2x Stall Regulation Torque at Cut-Out 2.2mps)</t>
  </si>
  <si>
    <t>Ratio of Keel Max Reation Torque at 90deg to Max torque at Cut-Out 2.2mps</t>
  </si>
  <si>
    <t>%</t>
  </si>
  <si>
    <t>*</t>
  </si>
  <si>
    <t>Keel CG Rotor Span Location</t>
  </si>
  <si>
    <t>Max Roll Angle</t>
  </si>
  <si>
    <t>Rotor Thrust at Rated 1.6mps</t>
  </si>
  <si>
    <t>Front Mooring Angle</t>
  </si>
  <si>
    <t>Aft Mooring Length</t>
  </si>
  <si>
    <t>Front Mooring Length</t>
  </si>
  <si>
    <t>Buoyancy designed to react thrust at 1.6m/s with 18.6 deg front mooring angle (1000m fwd lines, 330m aft line)</t>
  </si>
  <si>
    <t>Net Buoyancy Required</t>
  </si>
  <si>
    <t>Keel Volume</t>
  </si>
  <si>
    <t>Net Buoyancy without Buoyancy Pod</t>
  </si>
  <si>
    <t>Buoynacy Efficieny Factor</t>
  </si>
  <si>
    <t>Buoynacy Pod Weight</t>
  </si>
  <si>
    <t>Buoynacy Pod Volume</t>
  </si>
  <si>
    <t xml:space="preserve">Keel designed to react 2x stall regulation torque at 2.2mps at 45deg roll. </t>
  </si>
  <si>
    <t>Buoynacy pod assumed to be at rotor axis - would be more effective to move up if possible.</t>
  </si>
  <si>
    <t>Unit</t>
  </si>
  <si>
    <t>Metric</t>
  </si>
  <si>
    <t>Diameter</t>
  </si>
  <si>
    <t>Area</t>
  </si>
  <si>
    <t>Thickness</t>
  </si>
  <si>
    <t>Enclosed area</t>
  </si>
  <si>
    <t>Steel Area</t>
  </si>
  <si>
    <t>Steel Density</t>
  </si>
  <si>
    <t>Steel Weight / M</t>
  </si>
  <si>
    <t>kg/m</t>
  </si>
  <si>
    <t>#42U's in Sections</t>
  </si>
  <si>
    <t>#</t>
  </si>
  <si>
    <t>42U Weight</t>
  </si>
  <si>
    <t>42U Height</t>
  </si>
  <si>
    <t>42U Width</t>
  </si>
  <si>
    <t>42U Depth</t>
  </si>
  <si>
    <t>42U Sectional Area</t>
  </si>
  <si>
    <t>42U Spacing</t>
  </si>
  <si>
    <t>42U Volume Efficency</t>
  </si>
  <si>
    <t># 42U's Axial</t>
  </si>
  <si>
    <t>Total 1 U's</t>
  </si>
  <si>
    <t>Gas N2 Area</t>
  </si>
  <si>
    <t>Gas N2 Density</t>
  </si>
  <si>
    <t>N2 Weight/M</t>
  </si>
  <si>
    <t>Displaced Volume</t>
  </si>
  <si>
    <t>Seawater Mass</t>
  </si>
  <si>
    <t>Gas CO2 Mass</t>
  </si>
  <si>
    <t>Server Mass</t>
  </si>
  <si>
    <t>PV Mass</t>
  </si>
  <si>
    <t>Steel PV Cost</t>
  </si>
  <si>
    <t>$/kg</t>
  </si>
  <si>
    <t>PV Cost</t>
  </si>
  <si>
    <t>Total Weight</t>
  </si>
  <si>
    <t>Total Buoyancy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</si>
</sst>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6" formatCode="0.0000"/>
    <numFmt numFmtId="167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9" applyNumberFormat="0" applyAlignment="0" applyProtection="0"/>
    <xf numFmtId="0" fontId="3" fillId="3" borderId="9" applyNumberFormat="0" applyAlignment="0" applyProtection="0"/>
    <xf numFmtId="0" fontId="5" fillId="5" borderId="16" applyNumberFormat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17" applyNumberFormat="0" applyAlignment="0" applyProtection="0"/>
  </cellStyleXfs>
  <cellXfs count="56">
    <xf numFmtId="0" fontId="0" fillId="0" borderId="0" xfId="0"/>
    <xf numFmtId="0" fontId="1" fillId="0" borderId="2" xfId="0" applyFont="1" applyBorder="1"/>
    <xf numFmtId="0" fontId="1" fillId="0" borderId="8" xfId="0" applyFont="1" applyBorder="1"/>
    <xf numFmtId="0" fontId="1" fillId="0" borderId="3" xfId="0" applyFont="1" applyBorder="1"/>
    <xf numFmtId="2" fontId="2" fillId="2" borderId="9" xfId="1" applyNumberFormat="1" applyBorder="1"/>
    <xf numFmtId="2" fontId="2" fillId="2" borderId="11" xfId="1" applyNumberFormat="1" applyBorder="1"/>
    <xf numFmtId="2" fontId="3" fillId="3" borderId="9" xfId="2" applyNumberFormat="1" applyBorder="1"/>
    <xf numFmtId="167" fontId="0" fillId="0" borderId="0" xfId="0" applyNumberFormat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2" fontId="2" fillId="2" borderId="9" xfId="1" applyNumberFormat="1"/>
    <xf numFmtId="0" fontId="1" fillId="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Fill="1" applyBorder="1"/>
    <xf numFmtId="0" fontId="0" fillId="0" borderId="0" xfId="0"/>
    <xf numFmtId="0" fontId="0" fillId="0" borderId="0" xfId="0"/>
    <xf numFmtId="0" fontId="1" fillId="0" borderId="0" xfId="0" applyFont="1"/>
    <xf numFmtId="2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/>
    <xf numFmtId="166" fontId="0" fillId="0" borderId="0" xfId="0" applyNumberFormat="1" applyFill="1" applyBorder="1"/>
    <xf numFmtId="2" fontId="2" fillId="0" borderId="0" xfId="1" applyNumberFormat="1" applyFill="1" applyBorder="1"/>
    <xf numFmtId="2" fontId="5" fillId="0" borderId="0" xfId="3" applyNumberFormat="1" applyFill="1" applyBorder="1"/>
    <xf numFmtId="167" fontId="0" fillId="0" borderId="0" xfId="0" applyNumberFormat="1" applyFill="1" applyBorder="1"/>
    <xf numFmtId="0" fontId="2" fillId="2" borderId="9" xfId="1"/>
    <xf numFmtId="2" fontId="2" fillId="2" borderId="14" xfId="1" applyNumberFormat="1" applyBorder="1"/>
    <xf numFmtId="0" fontId="1" fillId="0" borderId="10" xfId="0" applyFont="1" applyBorder="1" applyAlignment="1">
      <alignment horizontal="center"/>
    </xf>
    <xf numFmtId="2" fontId="3" fillId="3" borderId="9" xfId="2" applyNumberFormat="1"/>
    <xf numFmtId="0" fontId="0" fillId="0" borderId="18" xfId="0" applyBorder="1"/>
    <xf numFmtId="0" fontId="0" fillId="0" borderId="15" xfId="0" applyBorder="1"/>
    <xf numFmtId="0" fontId="0" fillId="0" borderId="0" xfId="0" applyFont="1"/>
    <xf numFmtId="167" fontId="2" fillId="2" borderId="12" xfId="1" applyNumberFormat="1" applyBorder="1"/>
    <xf numFmtId="167" fontId="2" fillId="2" borderId="14" xfId="1" applyNumberFormat="1" applyBorder="1"/>
    <xf numFmtId="167" fontId="3" fillId="3" borderId="13" xfId="2" applyNumberFormat="1" applyBorder="1"/>
    <xf numFmtId="167" fontId="3" fillId="0" borderId="19" xfId="2" applyNumberFormat="1" applyFill="1" applyBorder="1"/>
    <xf numFmtId="167" fontId="0" fillId="0" borderId="19" xfId="0" applyNumberFormat="1" applyBorder="1"/>
    <xf numFmtId="167" fontId="3" fillId="3" borderId="20" xfId="2" applyNumberFormat="1" applyBorder="1"/>
    <xf numFmtId="167" fontId="2" fillId="2" borderId="9" xfId="1" applyNumberFormat="1"/>
    <xf numFmtId="167" fontId="3" fillId="3" borderId="9" xfId="2" applyNumberFormat="1"/>
    <xf numFmtId="167" fontId="7" fillId="3" borderId="17" xfId="6" applyNumberFormat="1"/>
    <xf numFmtId="0" fontId="0" fillId="0" borderId="0" xfId="0" applyFont="1" applyFill="1" applyBorder="1"/>
    <xf numFmtId="9" fontId="2" fillId="2" borderId="9" xfId="1" applyNumberFormat="1"/>
    <xf numFmtId="164" fontId="2" fillId="2" borderId="9" xfId="1" applyNumberFormat="1"/>
    <xf numFmtId="1" fontId="0" fillId="0" borderId="0" xfId="5" applyNumberFormat="1" applyFont="1"/>
    <xf numFmtId="3" fontId="0" fillId="0" borderId="0" xfId="0" applyNumberFormat="1"/>
    <xf numFmtId="4" fontId="0" fillId="0" borderId="0" xfId="0" applyNumberFormat="1"/>
    <xf numFmtId="44" fontId="2" fillId="2" borderId="9" xfId="4" applyFont="1" applyFill="1" applyBorder="1"/>
    <xf numFmtId="44" fontId="0" fillId="0" borderId="0" xfId="4" applyFont="1"/>
    <xf numFmtId="167" fontId="0" fillId="4" borderId="1" xfId="0" applyNumberFormat="1" applyFill="1" applyBorder="1"/>
  </cellXfs>
  <cellStyles count="7">
    <cellStyle name="Calculation" xfId="2" builtinId="22"/>
    <cellStyle name="Check Cell" xfId="3" builtinId="23"/>
    <cellStyle name="Currency" xfId="4" builtinId="4"/>
    <cellStyle name="Input" xfId="1" builtinId="20"/>
    <cellStyle name="Normal" xfId="0" builtinId="0"/>
    <cellStyle name="Output" xfId="6" builtinId="2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11207</xdr:colOff>
      <xdr:row>12</xdr:row>
      <xdr:rowOff>11208</xdr:rowOff>
    </xdr:from>
    <xdr:to>
      <xdr:col>8</xdr:col>
      <xdr:colOff>773207</xdr:colOff>
      <xdr:row>44</xdr:row>
      <xdr:rowOff>73816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207" y="2342032"/>
          <a:ext cx="8561294" cy="6158608"/>
        </a:xfrm>
        <a:prstGeom prst="rect">
          <a:avLst/>
        </a:prstGeom>
      </xdr:spPr>
    </xdr:pic>
    <xdr:clientData/>
  </xdr:twoCellAnchor>
  <xdr:twoCellAnchor editAs="oneCell">
    <xdr:from>
      <xdr:col>9</xdr:col>
      <xdr:colOff>22413</xdr:colOff>
      <xdr:row>12</xdr:row>
      <xdr:rowOff>33616</xdr:rowOff>
    </xdr:from>
    <xdr:to>
      <xdr:col>14</xdr:col>
      <xdr:colOff>324972</xdr:colOff>
      <xdr:row>32</xdr:row>
      <xdr:rowOff>158956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0884" y="2364440"/>
          <a:ext cx="4930588" cy="3935340"/>
        </a:xfrm>
        <a:prstGeom prst="rect">
          <a:avLst/>
        </a:prstGeom>
        <a:ln>
          <a:solidFill>
            <a:schemeClr val="tx1"/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12</xdr:row>
      <xdr:rowOff>114300</xdr:rowOff>
    </xdr:from>
    <xdr:to>
      <xdr:col>17</xdr:col>
      <xdr:colOff>113719</xdr:colOff>
      <xdr:row>15</xdr:row>
      <xdr:rowOff>104705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2400300"/>
          <a:ext cx="4647619" cy="561905"/>
        </a:xfrm>
        <a:prstGeom prst="rect">
          <a:avLst/>
        </a:prstGeom>
      </xdr:spPr>
    </xdr:pic>
    <xdr:clientData/>
  </xdr:twoCellAnchor>
  <xdr:twoCellAnchor editAs="oneCell">
    <xdr:from>
      <xdr:col>17</xdr:col>
      <xdr:colOff>134212</xdr:colOff>
      <xdr:row>0</xdr:row>
      <xdr:rowOff>0</xdr:rowOff>
    </xdr:from>
    <xdr:to>
      <xdr:col>27</xdr:col>
      <xdr:colOff>351195</xdr:colOff>
      <xdr:row>24</xdr:row>
      <xdr:rowOff>84818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9037" y="0"/>
          <a:ext cx="6312983" cy="4656818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22</xdr:row>
      <xdr:rowOff>9525</xdr:rowOff>
    </xdr:from>
    <xdr:to>
      <xdr:col>25</xdr:col>
      <xdr:colOff>303951</xdr:colOff>
      <xdr:row>35</xdr:row>
      <xdr:rowOff>66358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5100" y="4200525"/>
          <a:ext cx="6790476" cy="25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0</xdr:row>
      <xdr:rowOff>171450</xdr:rowOff>
    </xdr:from>
    <xdr:to>
      <xdr:col>16</xdr:col>
      <xdr:colOff>266083</xdr:colOff>
      <xdr:row>9</xdr:row>
      <xdr:rowOff>28379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57975" y="171450"/>
          <a:ext cx="4933333" cy="1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60"/>
  <sheetViews>
    <sheetView tabSelected="1" topLeftCell="B1" zoomScale="85" zoomScaleNormal="85" workbookViewId="0">
      <selection activeCell="N8" sqref="N8"/>
    </sheetView>
  </sheetViews>
  <sheetFormatPr defaultRowHeight="15" x14ac:dyDescent="0.25"/>
  <cols>
    <col min="1" max="1" width="2.85546875" style="19" customWidth="1"/>
    <col min="2" max="2" width="2.85546875" style="20" customWidth="1"/>
    <col min="3" max="3" width="34.5703125" style="19" bestFit="1" customWidth="1"/>
    <col min="4" max="6" width="16.42578125" style="19" customWidth="1"/>
    <col min="7" max="7" width="16.42578125" style="20" customWidth="1"/>
    <col min="8" max="9" width="16.42578125" style="19" customWidth="1"/>
    <col min="10" max="10" width="24.42578125" style="19" bestFit="1" customWidth="1"/>
    <col min="11" max="11" width="17.85546875" style="19" bestFit="1" customWidth="1"/>
    <col min="12" max="16384" width="9.140625" style="19"/>
  </cols>
  <sheetData>
    <row r="1" spans="2:12" x14ac:dyDescent="0.25">
      <c r="D1" s="19">
        <v>45.5</v>
      </c>
      <c r="E1" s="20">
        <v>1.82</v>
      </c>
      <c r="F1" s="20">
        <v>1.82</v>
      </c>
      <c r="G1" s="20">
        <v>27</v>
      </c>
      <c r="H1" s="20">
        <v>27</v>
      </c>
      <c r="I1" s="20">
        <v>27</v>
      </c>
      <c r="J1" s="21" t="s">
        <v>26</v>
      </c>
    </row>
    <row r="2" spans="2:12" s="9" customFormat="1" ht="15.75" thickBot="1" x14ac:dyDescent="0.3">
      <c r="B2" s="21"/>
      <c r="D2" s="37">
        <v>27</v>
      </c>
      <c r="E2" s="37">
        <v>27</v>
      </c>
      <c r="F2" s="37">
        <v>27</v>
      </c>
      <c r="G2" s="37">
        <v>27</v>
      </c>
      <c r="H2" s="37">
        <v>27</v>
      </c>
      <c r="I2" s="37">
        <v>27</v>
      </c>
      <c r="J2" s="21" t="s">
        <v>27</v>
      </c>
    </row>
    <row r="3" spans="2:12" x14ac:dyDescent="0.25">
      <c r="C3" s="1" t="s">
        <v>5</v>
      </c>
      <c r="D3" s="33" t="s">
        <v>15</v>
      </c>
      <c r="E3" s="33" t="s">
        <v>13</v>
      </c>
      <c r="F3" s="33" t="s">
        <v>12</v>
      </c>
      <c r="G3" s="33" t="s">
        <v>23</v>
      </c>
      <c r="H3" s="33" t="s">
        <v>16</v>
      </c>
      <c r="I3" s="33" t="s">
        <v>17</v>
      </c>
      <c r="J3" s="2" t="s">
        <v>9</v>
      </c>
      <c r="K3" s="3" t="s">
        <v>2</v>
      </c>
    </row>
    <row r="4" spans="2:12" x14ac:dyDescent="0.25">
      <c r="C4" s="14" t="s">
        <v>22</v>
      </c>
      <c r="D4" s="32">
        <f>4.62*(D$2/D$1)</f>
        <v>2.7415384615384615</v>
      </c>
      <c r="E4" s="32">
        <f>CONVERT(11.96,"in","m")*(E$2/E$1)</f>
        <v>4.5066857142857142</v>
      </c>
      <c r="F4" s="32">
        <f>CONVERT(21,"in","m")*(F$2/F$1)</f>
        <v>7.9130769230769218</v>
      </c>
      <c r="G4" s="32">
        <v>3</v>
      </c>
      <c r="H4" s="32">
        <v>3.31</v>
      </c>
      <c r="I4" s="32">
        <v>1.6</v>
      </c>
      <c r="J4" s="34">
        <f>SUMPRODUCT(D4:I4,$D$6:$I$6)/($J$6)</f>
        <v>3.1439541332664143</v>
      </c>
      <c r="K4" s="15" t="s">
        <v>28</v>
      </c>
    </row>
    <row r="5" spans="2:12" x14ac:dyDescent="0.25">
      <c r="C5" s="14" t="s">
        <v>21</v>
      </c>
      <c r="D5" s="32">
        <f>0.29*(D$2/D$1)</f>
        <v>0.17208791208791208</v>
      </c>
      <c r="E5" s="32">
        <f>CONVERT(3.39,"in","m")*(E$2/E$1)</f>
        <v>1.2773967032967033</v>
      </c>
      <c r="F5" s="32">
        <f>CONVERT(2.1,"in","m")*(F$2/F$1)</f>
        <v>0.79130769230769227</v>
      </c>
      <c r="G5" s="4">
        <f>-1.28-(1.7/2)</f>
        <v>-2.13</v>
      </c>
      <c r="H5" s="5">
        <v>6.8</v>
      </c>
      <c r="I5" s="5">
        <v>0</v>
      </c>
      <c r="J5" s="6">
        <f>SUMPRODUCT(D5:I5,$D$6:$I$6)/($J$6)</f>
        <v>1.4200192071812687</v>
      </c>
      <c r="K5" s="15" t="s">
        <v>29</v>
      </c>
    </row>
    <row r="6" spans="2:12" ht="15.75" thickBot="1" x14ac:dyDescent="0.3">
      <c r="C6" s="16" t="s">
        <v>19</v>
      </c>
      <c r="D6" s="38">
        <f>247000*9.81/1000*(D$2/D$1)^3</f>
        <v>506.31764555695486</v>
      </c>
      <c r="E6" s="39">
        <f>CONVERT(2*0.85,"lbf","kN")*(E$2/E$1)^3</f>
        <v>24.689509729407227</v>
      </c>
      <c r="F6" s="39">
        <f>CONVERT(2*1.91,"lbf","kN")*(F$2/F$1)^3</f>
        <v>55.478780686079766</v>
      </c>
      <c r="G6" s="38">
        <f>2*DataSub!D43</f>
        <v>212.9898370896976</v>
      </c>
      <c r="H6" s="38">
        <v>284.10000000000002</v>
      </c>
      <c r="I6" s="38">
        <f>'Buoyancy Pod'!B13</f>
        <v>71.888793494080176</v>
      </c>
      <c r="J6" s="40">
        <f>SUM(D6:I6)</f>
        <v>1155.4645665562196</v>
      </c>
      <c r="K6" s="17" t="s">
        <v>19</v>
      </c>
    </row>
    <row r="7" spans="2:12" x14ac:dyDescent="0.25">
      <c r="C7" s="1" t="s">
        <v>4</v>
      </c>
      <c r="D7" s="2"/>
      <c r="E7" s="2"/>
      <c r="F7" s="2"/>
      <c r="G7" s="2"/>
      <c r="H7" s="2"/>
      <c r="I7" s="2"/>
      <c r="J7" s="2"/>
      <c r="K7" s="13"/>
      <c r="L7" s="9"/>
    </row>
    <row r="8" spans="2:12" x14ac:dyDescent="0.25">
      <c r="C8" s="14" t="s">
        <v>22</v>
      </c>
      <c r="D8" s="4">
        <f>7.42*(D$2/D$1)</f>
        <v>4.4030769230769229</v>
      </c>
      <c r="E8" s="11">
        <f>CONVERT(11.96,"in","m")*(E$2/E$1)</f>
        <v>4.5066857142857142</v>
      </c>
      <c r="F8" s="11">
        <f>CONVERT(21,"in","m")*(F$2/F$1)</f>
        <v>7.9130769230769218</v>
      </c>
      <c r="G8" s="4">
        <f>G4</f>
        <v>3</v>
      </c>
      <c r="H8" s="11">
        <v>3.31</v>
      </c>
      <c r="I8" s="4">
        <f>I4</f>
        <v>1.6</v>
      </c>
      <c r="J8" s="34">
        <f>SUMPRODUCT(D8:I8,$D$10:$I$10)/($J$10)</f>
        <v>3.3453904763332467</v>
      </c>
      <c r="K8" s="15" t="s">
        <v>30</v>
      </c>
    </row>
    <row r="9" spans="2:12" x14ac:dyDescent="0.25">
      <c r="C9" s="14" t="s">
        <v>21</v>
      </c>
      <c r="D9" s="4">
        <f>0*(D$2/D$1)</f>
        <v>0</v>
      </c>
      <c r="E9" s="32">
        <f>CONVERT(3.39,"in","m")*(E$2/E$1)</f>
        <v>1.2773967032967033</v>
      </c>
      <c r="F9" s="32">
        <f>CONVERT(2.1,"in","m")*(F$2/F$1)</f>
        <v>0.79130769230769227</v>
      </c>
      <c r="G9" s="4">
        <f>G5</f>
        <v>-2.13</v>
      </c>
      <c r="H9" s="11">
        <v>6.8</v>
      </c>
      <c r="I9" s="4">
        <v>0</v>
      </c>
      <c r="J9" s="6">
        <f>SUMPRODUCT(D9:I9,$D$10:$I$10)/($J$10)</f>
        <v>-0.49405589155844148</v>
      </c>
      <c r="K9" s="15" t="s">
        <v>31</v>
      </c>
    </row>
    <row r="10" spans="2:12" ht="15.75" thickBot="1" x14ac:dyDescent="0.3">
      <c r="C10" s="16" t="s">
        <v>32</v>
      </c>
      <c r="D10" s="38">
        <f>-277000*9.81/1000*(D$2/D$1)^3</f>
        <v>-567.81371586751607</v>
      </c>
      <c r="E10" s="39">
        <f>CONVERT(2*-0.16,"lbf","kN")*(E$2/E$1)^3</f>
        <v>-4.6474371255354781</v>
      </c>
      <c r="F10" s="39">
        <f>CONVERT(2*-1.42,"lbf","kN")*(F$2/F$1)^3</f>
        <v>-41.246004489127365</v>
      </c>
      <c r="G10" s="38">
        <f>2*-DataSub!D44</f>
        <v>-479.76552411200822</v>
      </c>
      <c r="H10" s="38">
        <v>-36.4</v>
      </c>
      <c r="I10" s="38">
        <f>'Buoyancy Pod'!B12</f>
        <v>-359.44396747040088</v>
      </c>
      <c r="J10" s="40">
        <f>SUM(D10:I10)</f>
        <v>-1489.3166490645881</v>
      </c>
      <c r="K10" s="17" t="s">
        <v>32</v>
      </c>
    </row>
    <row r="11" spans="2:12" ht="15.75" thickBot="1" x14ac:dyDescent="0.3">
      <c r="C11" s="35" t="s">
        <v>18</v>
      </c>
      <c r="D11" s="41"/>
      <c r="E11" s="42"/>
      <c r="F11" s="42"/>
      <c r="G11" s="41"/>
      <c r="H11" s="42"/>
      <c r="I11" s="42"/>
      <c r="J11" s="43">
        <f>J10+J6</f>
        <v>-333.85208250836854</v>
      </c>
      <c r="K11" s="36" t="s">
        <v>33</v>
      </c>
    </row>
    <row r="12" spans="2:12" x14ac:dyDescent="0.25">
      <c r="J12" s="10"/>
    </row>
    <row r="13" spans="2:12" x14ac:dyDescent="0.25">
      <c r="C13" s="8"/>
      <c r="D13" s="8"/>
      <c r="E13" s="12"/>
      <c r="F13" s="12"/>
      <c r="G13" s="8"/>
      <c r="H13" s="22"/>
      <c r="I13" s="8"/>
      <c r="J13" s="12"/>
      <c r="K13" s="8"/>
    </row>
    <row r="14" spans="2:12" x14ac:dyDescent="0.25">
      <c r="C14" s="8"/>
      <c r="D14" s="8"/>
      <c r="E14" s="22"/>
      <c r="F14" s="22"/>
      <c r="G14" s="8"/>
      <c r="H14" s="8"/>
      <c r="I14" s="22"/>
      <c r="J14" s="8"/>
      <c r="K14" s="8"/>
    </row>
    <row r="15" spans="2:12" x14ac:dyDescent="0.25">
      <c r="C15" s="8"/>
      <c r="D15" s="8"/>
      <c r="E15" s="22"/>
      <c r="F15" s="22"/>
      <c r="G15" s="8"/>
      <c r="H15" s="22"/>
      <c r="I15" s="22"/>
      <c r="J15" s="22"/>
      <c r="K15" s="8"/>
    </row>
    <row r="16" spans="2:12" x14ac:dyDescent="0.25">
      <c r="C16" s="8"/>
      <c r="D16" s="8"/>
      <c r="E16" s="8"/>
      <c r="F16" s="8"/>
      <c r="G16" s="8"/>
      <c r="H16" s="8"/>
      <c r="I16" s="22"/>
      <c r="J16" s="22"/>
      <c r="K16" s="8"/>
    </row>
    <row r="17" spans="3:11" x14ac:dyDescent="0.25">
      <c r="C17" s="8"/>
      <c r="D17" s="8"/>
      <c r="E17" s="22"/>
      <c r="F17" s="22"/>
      <c r="G17" s="8"/>
      <c r="H17" s="8"/>
      <c r="I17" s="22"/>
      <c r="J17" s="22"/>
      <c r="K17" s="8"/>
    </row>
    <row r="18" spans="3:11" x14ac:dyDescent="0.25">
      <c r="C18" s="8"/>
      <c r="D18" s="8"/>
      <c r="E18" s="8"/>
      <c r="F18" s="8"/>
      <c r="G18" s="8"/>
      <c r="H18" s="22"/>
      <c r="I18" s="22"/>
      <c r="J18" s="22"/>
      <c r="K18" s="8"/>
    </row>
    <row r="19" spans="3:11" x14ac:dyDescent="0.25">
      <c r="C19" s="8"/>
      <c r="D19" s="8"/>
      <c r="E19" s="8"/>
      <c r="F19" s="8"/>
      <c r="G19" s="8"/>
      <c r="H19" s="8"/>
      <c r="I19" s="8"/>
      <c r="J19" s="8"/>
      <c r="K19" s="12"/>
    </row>
    <row r="20" spans="3:11" x14ac:dyDescent="0.25">
      <c r="C20" s="8"/>
      <c r="D20" s="8"/>
      <c r="E20" s="8"/>
      <c r="F20" s="8"/>
      <c r="G20" s="8"/>
      <c r="H20" s="8"/>
      <c r="I20" s="22"/>
      <c r="J20" s="22"/>
      <c r="K20" s="8"/>
    </row>
    <row r="21" spans="3:11" x14ac:dyDescent="0.25">
      <c r="C21" s="8"/>
      <c r="D21" s="8"/>
      <c r="E21" s="8"/>
      <c r="F21" s="8"/>
      <c r="G21" s="8"/>
      <c r="H21" s="8"/>
      <c r="I21" s="8"/>
      <c r="J21" s="8"/>
      <c r="K21" s="8"/>
    </row>
    <row r="22" spans="3:11" x14ac:dyDescent="0.25">
      <c r="C22" s="12"/>
      <c r="D22" s="8"/>
      <c r="E22" s="8"/>
      <c r="F22" s="8"/>
      <c r="G22" s="8"/>
      <c r="H22" s="8"/>
      <c r="I22" s="8"/>
      <c r="J22" s="8"/>
      <c r="K22" s="8"/>
    </row>
    <row r="23" spans="3:11" x14ac:dyDescent="0.25">
      <c r="C23" s="8"/>
      <c r="D23" s="12"/>
      <c r="E23" s="8"/>
      <c r="F23" s="8"/>
      <c r="G23" s="12"/>
      <c r="H23" s="8"/>
      <c r="I23" s="8"/>
      <c r="J23" s="8"/>
      <c r="K23" s="8"/>
    </row>
    <row r="24" spans="3:11" x14ac:dyDescent="0.25">
      <c r="C24" s="8"/>
      <c r="D24" s="8"/>
      <c r="E24" s="8"/>
      <c r="F24" s="8"/>
      <c r="G24" s="8"/>
      <c r="H24" s="8"/>
      <c r="I24" s="26"/>
      <c r="J24" s="8"/>
      <c r="K24" s="8"/>
    </row>
    <row r="25" spans="3:11" x14ac:dyDescent="0.25">
      <c r="C25" s="8"/>
      <c r="D25" s="18"/>
      <c r="E25" s="8"/>
      <c r="F25" s="8"/>
      <c r="G25" s="18"/>
      <c r="H25" s="27"/>
      <c r="I25" s="28"/>
      <c r="J25" s="8"/>
      <c r="K25" s="8"/>
    </row>
    <row r="26" spans="3:11" x14ac:dyDescent="0.25">
      <c r="C26" s="8"/>
      <c r="D26" s="18"/>
      <c r="E26" s="8"/>
      <c r="F26" s="8"/>
      <c r="G26" s="18"/>
      <c r="H26" s="27"/>
      <c r="I26" s="29"/>
      <c r="J26" s="8"/>
      <c r="K26" s="8"/>
    </row>
    <row r="27" spans="3:11" x14ac:dyDescent="0.25">
      <c r="C27" s="8"/>
      <c r="D27" s="8"/>
      <c r="E27" s="8"/>
      <c r="F27" s="8"/>
      <c r="G27" s="8"/>
      <c r="H27" s="8"/>
      <c r="I27" s="28"/>
      <c r="J27" s="8"/>
      <c r="K27" s="8"/>
    </row>
    <row r="28" spans="3:11" x14ac:dyDescent="0.25">
      <c r="C28" s="23"/>
      <c r="D28" s="23"/>
      <c r="E28" s="8"/>
      <c r="F28" s="8"/>
      <c r="G28" s="23"/>
      <c r="H28" s="8"/>
      <c r="I28" s="22"/>
      <c r="J28" s="8"/>
      <c r="K28" s="8"/>
    </row>
    <row r="29" spans="3:11" x14ac:dyDescent="0.25">
      <c r="C29" s="8"/>
      <c r="D29" s="18"/>
      <c r="E29" s="8"/>
      <c r="F29" s="8"/>
      <c r="G29" s="18"/>
      <c r="H29" s="27"/>
      <c r="I29" s="8"/>
      <c r="J29" s="8"/>
      <c r="K29" s="8"/>
    </row>
    <row r="30" spans="3:11" x14ac:dyDescent="0.25">
      <c r="C30" s="8"/>
      <c r="D30" s="18"/>
      <c r="E30" s="8"/>
      <c r="F30" s="8"/>
      <c r="G30" s="18"/>
      <c r="H30" s="30"/>
      <c r="I30" s="22"/>
      <c r="J30" s="8"/>
      <c r="K30" s="8"/>
    </row>
    <row r="31" spans="3:11" x14ac:dyDescent="0.25">
      <c r="C31" s="8"/>
      <c r="D31" s="18"/>
      <c r="E31" s="8"/>
      <c r="F31" s="8"/>
      <c r="G31" s="18"/>
      <c r="H31" s="27"/>
      <c r="I31" s="22"/>
      <c r="J31" s="8"/>
      <c r="K31" s="8"/>
    </row>
    <row r="32" spans="3:11" x14ac:dyDescent="0.25">
      <c r="C32" s="8"/>
      <c r="D32" s="18"/>
      <c r="E32" s="8"/>
      <c r="F32" s="8"/>
      <c r="G32" s="18"/>
      <c r="H32" s="27"/>
      <c r="I32" s="22"/>
      <c r="J32" s="8"/>
      <c r="K32" s="8"/>
    </row>
    <row r="33" spans="3:11" x14ac:dyDescent="0.25">
      <c r="C33" s="8"/>
      <c r="D33" s="18"/>
      <c r="E33" s="8"/>
      <c r="F33" s="8"/>
      <c r="G33" s="18"/>
      <c r="H33" s="27"/>
      <c r="I33" s="22"/>
      <c r="J33" s="8"/>
      <c r="K33" s="8"/>
    </row>
    <row r="34" spans="3:11" x14ac:dyDescent="0.25">
      <c r="C34" s="8"/>
      <c r="D34" s="8"/>
      <c r="E34" s="8"/>
      <c r="F34" s="8"/>
      <c r="G34" s="8"/>
      <c r="H34" s="8"/>
      <c r="I34" s="8"/>
      <c r="J34" s="8"/>
      <c r="K34" s="8"/>
    </row>
    <row r="35" spans="3:11" x14ac:dyDescent="0.25">
      <c r="C35" s="8"/>
      <c r="D35" s="18"/>
      <c r="E35" s="8"/>
      <c r="F35" s="8"/>
      <c r="G35" s="18"/>
      <c r="H35" s="8"/>
      <c r="J35" s="12" t="s">
        <v>2</v>
      </c>
      <c r="K35" s="8"/>
    </row>
    <row r="36" spans="3:11" x14ac:dyDescent="0.25">
      <c r="C36" s="8"/>
      <c r="D36" s="18"/>
      <c r="E36" s="8"/>
      <c r="F36" s="8"/>
      <c r="G36" s="18"/>
      <c r="H36" s="27"/>
      <c r="J36" s="8" t="s">
        <v>34</v>
      </c>
      <c r="K36" s="8"/>
    </row>
    <row r="37" spans="3:11" x14ac:dyDescent="0.25">
      <c r="C37" s="8"/>
      <c r="D37" s="8"/>
      <c r="E37" s="8"/>
      <c r="F37" s="8"/>
      <c r="G37" s="8"/>
      <c r="H37" s="8"/>
      <c r="J37" s="8" t="s">
        <v>25</v>
      </c>
      <c r="K37" s="8"/>
    </row>
    <row r="38" spans="3:11" x14ac:dyDescent="0.25">
      <c r="C38" s="8"/>
      <c r="D38" s="12"/>
      <c r="E38" s="8"/>
      <c r="F38" s="8"/>
      <c r="G38" s="12"/>
      <c r="H38" s="8"/>
      <c r="J38" s="8" t="s">
        <v>24</v>
      </c>
      <c r="K38" s="8"/>
    </row>
    <row r="39" spans="3:11" x14ac:dyDescent="0.25">
      <c r="C39" s="8"/>
      <c r="D39" s="8"/>
      <c r="E39" s="8"/>
      <c r="F39" s="8"/>
      <c r="G39" s="8"/>
      <c r="H39" s="8"/>
      <c r="J39" s="8" t="s">
        <v>58</v>
      </c>
      <c r="K39" s="8"/>
    </row>
    <row r="40" spans="3:11" x14ac:dyDescent="0.25">
      <c r="C40" s="8"/>
      <c r="D40" s="8"/>
      <c r="E40" s="8"/>
      <c r="F40" s="8"/>
      <c r="G40" s="8"/>
      <c r="H40" s="8"/>
      <c r="J40" s="8" t="s">
        <v>65</v>
      </c>
      <c r="K40" s="8"/>
    </row>
    <row r="41" spans="3:11" x14ac:dyDescent="0.25">
      <c r="C41" s="8"/>
      <c r="D41" s="8"/>
      <c r="E41" s="8"/>
      <c r="F41" s="8"/>
      <c r="G41" s="8"/>
      <c r="H41" s="8"/>
      <c r="I41" s="8"/>
      <c r="J41" s="8" t="s">
        <v>66</v>
      </c>
      <c r="K41" s="8"/>
    </row>
    <row r="42" spans="3:11" x14ac:dyDescent="0.25">
      <c r="C42" s="8"/>
      <c r="D42" s="22"/>
      <c r="E42" s="8"/>
      <c r="F42" s="8"/>
      <c r="G42" s="22"/>
      <c r="H42" s="8"/>
      <c r="I42" s="22"/>
      <c r="J42" s="8"/>
      <c r="K42" s="8"/>
    </row>
    <row r="43" spans="3:11" x14ac:dyDescent="0.25">
      <c r="C43" s="8"/>
      <c r="D43" s="8"/>
      <c r="E43" s="8"/>
      <c r="F43" s="8"/>
      <c r="G43" s="8"/>
      <c r="H43" s="8"/>
      <c r="I43" s="22"/>
      <c r="J43" s="8"/>
      <c r="K43" s="8"/>
    </row>
    <row r="44" spans="3:11" x14ac:dyDescent="0.25">
      <c r="C44" s="8"/>
      <c r="D44" s="8"/>
      <c r="E44" s="8"/>
      <c r="F44" s="8"/>
      <c r="G44" s="8"/>
      <c r="H44" s="8"/>
      <c r="I44" s="8"/>
      <c r="J44" s="8"/>
      <c r="K44" s="8"/>
    </row>
    <row r="45" spans="3:11" x14ac:dyDescent="0.25">
      <c r="C45" s="8"/>
      <c r="D45" s="8"/>
      <c r="E45" s="8"/>
      <c r="F45" s="8"/>
      <c r="G45" s="8"/>
      <c r="H45" s="8"/>
      <c r="I45" s="28"/>
      <c r="J45" s="8"/>
      <c r="K45" s="8"/>
    </row>
    <row r="46" spans="3:11" x14ac:dyDescent="0.25">
      <c r="C46" s="8"/>
      <c r="D46" s="8"/>
      <c r="E46" s="8"/>
      <c r="F46" s="8"/>
      <c r="G46" s="8"/>
      <c r="H46" s="8"/>
      <c r="I46" s="29"/>
      <c r="J46" s="8"/>
      <c r="K46" s="8"/>
    </row>
    <row r="47" spans="3:11" x14ac:dyDescent="0.25">
      <c r="C47" s="12"/>
      <c r="D47" s="12"/>
      <c r="E47" s="12"/>
      <c r="F47" s="12"/>
      <c r="G47" s="12"/>
      <c r="H47" s="12"/>
      <c r="I47" s="28"/>
      <c r="J47" s="8"/>
      <c r="K47" s="8"/>
    </row>
    <row r="48" spans="3:11" x14ac:dyDescent="0.25">
      <c r="C48" s="8"/>
      <c r="D48" s="22"/>
      <c r="E48" s="22"/>
      <c r="F48" s="22"/>
      <c r="G48" s="22"/>
      <c r="H48" s="22"/>
      <c r="I48" s="22"/>
      <c r="J48" s="8"/>
      <c r="K48" s="8"/>
    </row>
    <row r="49" spans="3:11" x14ac:dyDescent="0.25">
      <c r="C49" s="8"/>
      <c r="D49" s="22"/>
      <c r="E49" s="22"/>
      <c r="F49" s="22"/>
      <c r="G49" s="22"/>
      <c r="H49" s="22"/>
      <c r="I49" s="8"/>
      <c r="J49" s="8"/>
      <c r="K49" s="8"/>
    </row>
    <row r="50" spans="3:11" x14ac:dyDescent="0.25">
      <c r="C50" s="12"/>
      <c r="D50" s="24"/>
      <c r="E50" s="24"/>
      <c r="F50" s="24"/>
      <c r="G50" s="24"/>
      <c r="H50" s="24"/>
      <c r="I50" s="22"/>
      <c r="J50" s="8"/>
      <c r="K50" s="8"/>
    </row>
    <row r="51" spans="3:11" x14ac:dyDescent="0.25">
      <c r="C51" s="8"/>
      <c r="D51" s="25"/>
      <c r="E51" s="22"/>
      <c r="F51" s="22"/>
      <c r="G51" s="25"/>
      <c r="H51" s="22"/>
      <c r="I51" s="22"/>
      <c r="J51" s="8"/>
      <c r="K51" s="8"/>
    </row>
    <row r="52" spans="3:11" x14ac:dyDescent="0.25">
      <c r="C52" s="8"/>
      <c r="D52" s="25"/>
      <c r="E52" s="22"/>
      <c r="F52" s="22"/>
      <c r="G52" s="25"/>
      <c r="H52" s="22"/>
      <c r="I52" s="22"/>
      <c r="J52" s="8"/>
      <c r="K52" s="8"/>
    </row>
    <row r="53" spans="3:11" x14ac:dyDescent="0.25">
      <c r="C53" s="8"/>
      <c r="D53" s="8"/>
      <c r="E53" s="30"/>
      <c r="F53" s="30"/>
      <c r="G53" s="8"/>
      <c r="H53" s="8"/>
      <c r="I53" s="22"/>
      <c r="J53" s="8"/>
      <c r="K53" s="8"/>
    </row>
    <row r="54" spans="3:11" x14ac:dyDescent="0.25">
      <c r="C54" s="8"/>
      <c r="D54" s="8"/>
      <c r="E54" s="8"/>
      <c r="F54" s="8"/>
      <c r="G54" s="8"/>
      <c r="H54" s="8"/>
      <c r="I54" s="8"/>
      <c r="J54" s="8"/>
      <c r="K54" s="8"/>
    </row>
    <row r="55" spans="3:11" x14ac:dyDescent="0.25">
      <c r="C55" s="8"/>
      <c r="D55" s="8"/>
      <c r="E55" s="8"/>
      <c r="F55" s="8"/>
      <c r="G55" s="8"/>
      <c r="H55" s="8"/>
      <c r="I55" s="22"/>
      <c r="J55" s="8"/>
      <c r="K55" s="8"/>
    </row>
    <row r="56" spans="3:11" x14ac:dyDescent="0.25">
      <c r="C56" s="8"/>
      <c r="D56" s="22"/>
      <c r="E56" s="8"/>
      <c r="F56" s="8"/>
      <c r="G56" s="22"/>
      <c r="H56" s="8"/>
      <c r="I56" s="22"/>
      <c r="J56" s="8"/>
      <c r="K56" s="8"/>
    </row>
    <row r="57" spans="3:11" x14ac:dyDescent="0.25">
      <c r="C57" s="8"/>
      <c r="D57" s="8"/>
      <c r="E57" s="8"/>
      <c r="F57" s="8"/>
      <c r="G57" s="8"/>
      <c r="H57" s="8"/>
      <c r="I57" s="29"/>
      <c r="J57" s="8"/>
      <c r="K57" s="8"/>
    </row>
    <row r="58" spans="3:11" x14ac:dyDescent="0.25">
      <c r="C58" s="8"/>
      <c r="D58" s="8"/>
      <c r="E58" s="8"/>
      <c r="F58" s="8"/>
      <c r="G58" s="8"/>
      <c r="H58" s="8"/>
      <c r="I58" s="8"/>
      <c r="J58" s="8"/>
      <c r="K58" s="8"/>
    </row>
    <row r="59" spans="3:11" x14ac:dyDescent="0.25">
      <c r="C59" s="8"/>
      <c r="D59" s="8"/>
      <c r="E59" s="8"/>
      <c r="F59" s="8"/>
      <c r="G59" s="8"/>
      <c r="H59" s="8"/>
      <c r="I59" s="8"/>
      <c r="J59" s="8"/>
      <c r="K59" s="8"/>
    </row>
    <row r="60" spans="3:11" x14ac:dyDescent="0.25">
      <c r="C60" s="8"/>
      <c r="D60" s="8"/>
      <c r="E60" s="8"/>
      <c r="F60" s="8"/>
      <c r="G60" s="8"/>
      <c r="H60" s="8"/>
      <c r="I60" s="8"/>
      <c r="J60" s="8"/>
      <c r="K60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G20" sqref="G20"/>
    </sheetView>
  </sheetViews>
  <sheetFormatPr defaultRowHeight="15" x14ac:dyDescent="0.25"/>
  <cols>
    <col min="2" max="2" width="9.140625" style="7"/>
    <col min="3" max="3" width="7.5703125" bestFit="1" customWidth="1"/>
  </cols>
  <sheetData>
    <row r="3" spans="2:4" x14ac:dyDescent="0.25">
      <c r="B3" s="20">
        <v>1250</v>
      </c>
      <c r="C3" t="s">
        <v>36</v>
      </c>
      <c r="D3" t="s">
        <v>35</v>
      </c>
    </row>
    <row r="4" spans="2:4" x14ac:dyDescent="0.25">
      <c r="B4" s="20">
        <v>588</v>
      </c>
      <c r="C4" s="20" t="s">
        <v>36</v>
      </c>
      <c r="D4" t="s">
        <v>37</v>
      </c>
    </row>
    <row r="6" spans="2:4" x14ac:dyDescent="0.25">
      <c r="B6" s="44">
        <v>850</v>
      </c>
      <c r="C6" s="20" t="s">
        <v>36</v>
      </c>
      <c r="D6" t="s">
        <v>40</v>
      </c>
    </row>
    <row r="7" spans="2:4" x14ac:dyDescent="0.25">
      <c r="B7" s="44">
        <f>27/2</f>
        <v>13.5</v>
      </c>
      <c r="C7" t="s">
        <v>0</v>
      </c>
      <c r="D7" t="s">
        <v>38</v>
      </c>
    </row>
    <row r="8" spans="2:4" x14ac:dyDescent="0.25">
      <c r="B8" s="44">
        <v>8000</v>
      </c>
      <c r="C8" t="s">
        <v>46</v>
      </c>
      <c r="D8" t="s">
        <v>44</v>
      </c>
    </row>
    <row r="9" spans="2:4" x14ac:dyDescent="0.25">
      <c r="B9" s="44">
        <v>1025.9000000000001</v>
      </c>
      <c r="C9" s="37" t="s">
        <v>46</v>
      </c>
      <c r="D9" t="s">
        <v>45</v>
      </c>
    </row>
    <row r="10" spans="2:4" s="20" customFormat="1" x14ac:dyDescent="0.25">
      <c r="B10" s="48">
        <v>0.5</v>
      </c>
      <c r="C10" s="47" t="s">
        <v>51</v>
      </c>
      <c r="D10" s="20" t="s">
        <v>52</v>
      </c>
    </row>
    <row r="11" spans="2:4" s="20" customFormat="1" x14ac:dyDescent="0.25">
      <c r="B11" s="44">
        <v>45</v>
      </c>
      <c r="C11" s="47" t="s">
        <v>1</v>
      </c>
      <c r="D11" s="20" t="s">
        <v>53</v>
      </c>
    </row>
    <row r="13" spans="2:4" x14ac:dyDescent="0.25">
      <c r="B13" s="45">
        <f>B6*2</f>
        <v>1700</v>
      </c>
      <c r="C13" s="20" t="s">
        <v>36</v>
      </c>
      <c r="D13" t="s">
        <v>48</v>
      </c>
    </row>
    <row r="14" spans="2:4" s="20" customFormat="1" x14ac:dyDescent="0.25">
      <c r="B14" s="45">
        <f>(B16*B15)/B3</f>
        <v>1.36</v>
      </c>
      <c r="C14" s="8" t="s">
        <v>51</v>
      </c>
      <c r="D14" s="20" t="s">
        <v>49</v>
      </c>
    </row>
    <row r="15" spans="2:4" x14ac:dyDescent="0.25">
      <c r="B15" s="45">
        <f>B7*B10</f>
        <v>6.75</v>
      </c>
      <c r="C15" t="s">
        <v>0</v>
      </c>
      <c r="D15" t="s">
        <v>39</v>
      </c>
    </row>
    <row r="16" spans="2:4" x14ac:dyDescent="0.25">
      <c r="B16" s="45">
        <f>B13/(B15*TAN(RADIANS(B11)))</f>
        <v>251.85185185185188</v>
      </c>
      <c r="C16" t="s">
        <v>3</v>
      </c>
      <c r="D16" t="s">
        <v>41</v>
      </c>
    </row>
    <row r="17" spans="2:4" s="20" customFormat="1" x14ac:dyDescent="0.25"/>
    <row r="18" spans="2:4" x14ac:dyDescent="0.25">
      <c r="B18" s="46">
        <f>B16*(1+(B9/B8))</f>
        <v>284.14870370370375</v>
      </c>
      <c r="C18" s="20" t="s">
        <v>3</v>
      </c>
      <c r="D18" t="s">
        <v>42</v>
      </c>
    </row>
    <row r="19" spans="2:4" x14ac:dyDescent="0.25">
      <c r="B19" s="46">
        <f>((1000*B18)/9.81)/B8</f>
        <v>3.620651168497754</v>
      </c>
      <c r="C19" s="8" t="s">
        <v>43</v>
      </c>
      <c r="D19" t="s">
        <v>60</v>
      </c>
    </row>
    <row r="20" spans="2:4" x14ac:dyDescent="0.25">
      <c r="B20" s="46">
        <f>B19*B9*9.81/1000</f>
        <v>36.438519391203712</v>
      </c>
      <c r="C20" s="8" t="s">
        <v>3</v>
      </c>
      <c r="D20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I19" sqref="I19"/>
    </sheetView>
  </sheetViews>
  <sheetFormatPr defaultRowHeight="15" x14ac:dyDescent="0.25"/>
  <cols>
    <col min="3" max="3" width="7.5703125" bestFit="1" customWidth="1"/>
  </cols>
  <sheetData>
    <row r="2" spans="2:4" x14ac:dyDescent="0.25">
      <c r="B2" s="31">
        <v>955</v>
      </c>
      <c r="C2" t="s">
        <v>3</v>
      </c>
      <c r="D2" t="s">
        <v>54</v>
      </c>
    </row>
    <row r="3" spans="2:4" x14ac:dyDescent="0.25">
      <c r="B3" s="31">
        <v>330</v>
      </c>
      <c r="C3" t="s">
        <v>0</v>
      </c>
      <c r="D3" t="s">
        <v>56</v>
      </c>
    </row>
    <row r="4" spans="2:4" x14ac:dyDescent="0.25">
      <c r="B4" s="31">
        <v>1000</v>
      </c>
      <c r="C4" t="s">
        <v>0</v>
      </c>
      <c r="D4" t="s">
        <v>57</v>
      </c>
    </row>
    <row r="5" spans="2:4" x14ac:dyDescent="0.25">
      <c r="B5" s="44">
        <f>DEGREES(ASIN(B3/B4))</f>
        <v>19.268775491483769</v>
      </c>
      <c r="C5" t="s">
        <v>1</v>
      </c>
      <c r="D5" t="s">
        <v>55</v>
      </c>
    </row>
    <row r="6" spans="2:4" x14ac:dyDescent="0.25">
      <c r="B6" s="31">
        <v>0.8</v>
      </c>
      <c r="C6" t="s">
        <v>51</v>
      </c>
      <c r="D6" t="s">
        <v>62</v>
      </c>
    </row>
    <row r="7" spans="2:4" s="20" customFormat="1" x14ac:dyDescent="0.25">
      <c r="B7" s="44">
        <f>Keel!B9</f>
        <v>1025.9000000000001</v>
      </c>
      <c r="C7" s="37" t="s">
        <v>46</v>
      </c>
      <c r="D7" s="20" t="s">
        <v>45</v>
      </c>
    </row>
    <row r="9" spans="2:4" x14ac:dyDescent="0.25">
      <c r="B9" s="45">
        <f>-TAN(RADIANS(B5))*B2</f>
        <v>-333.85208250836854</v>
      </c>
      <c r="C9" t="s">
        <v>3</v>
      </c>
      <c r="D9" t="s">
        <v>59</v>
      </c>
    </row>
    <row r="10" spans="2:4" x14ac:dyDescent="0.25">
      <c r="B10" s="45">
        <f>SUM('Weights &amp; Centers Summary'!D6:H6)+SUM('Weights &amp; Centers Summary'!D10:H10)</f>
        <v>-46.296908532047837</v>
      </c>
      <c r="C10" t="s">
        <v>3</v>
      </c>
      <c r="D10" t="s">
        <v>61</v>
      </c>
    </row>
    <row r="12" spans="2:4" x14ac:dyDescent="0.25">
      <c r="B12" s="46">
        <f>(B9-B10)*(1/B6)</f>
        <v>-359.44396747040088</v>
      </c>
      <c r="C12" t="s">
        <v>3</v>
      </c>
      <c r="D12" t="s">
        <v>14</v>
      </c>
    </row>
    <row r="13" spans="2:4" x14ac:dyDescent="0.25">
      <c r="B13" s="46">
        <f>(B9-B10)-B12</f>
        <v>71.888793494080176</v>
      </c>
      <c r="C13" s="20" t="s">
        <v>3</v>
      </c>
      <c r="D13" t="s">
        <v>63</v>
      </c>
    </row>
    <row r="14" spans="2:4" x14ac:dyDescent="0.25">
      <c r="B14" s="46">
        <f>(-B12*1000/9.81)/B7</f>
        <v>35.715535169229177</v>
      </c>
      <c r="C14" s="8" t="s">
        <v>43</v>
      </c>
      <c r="D14" s="20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workbookViewId="0">
      <selection activeCell="H31" sqref="H31"/>
    </sheetView>
  </sheetViews>
  <sheetFormatPr defaultRowHeight="15" x14ac:dyDescent="0.25"/>
  <cols>
    <col min="1" max="1" width="9.140625" style="20"/>
    <col min="2" max="2" width="21.140625" style="20" bestFit="1" customWidth="1"/>
    <col min="3" max="3" width="15.5703125" style="20" bestFit="1" customWidth="1"/>
    <col min="4" max="4" width="11.5703125" style="20" bestFit="1" customWidth="1"/>
    <col min="5" max="5" width="9.140625" style="20"/>
    <col min="6" max="6" width="12.5703125" style="20" bestFit="1" customWidth="1"/>
    <col min="7" max="7" width="8.42578125" style="20" bestFit="1" customWidth="1"/>
    <col min="8" max="16384" width="9.140625" style="20"/>
  </cols>
  <sheetData>
    <row r="1" spans="2:12" x14ac:dyDescent="0.25">
      <c r="C1" s="20" t="s">
        <v>67</v>
      </c>
      <c r="D1" s="20" t="s">
        <v>68</v>
      </c>
    </row>
    <row r="2" spans="2:12" x14ac:dyDescent="0.25">
      <c r="B2" s="20" t="s">
        <v>69</v>
      </c>
      <c r="C2" s="20" t="s">
        <v>0</v>
      </c>
      <c r="D2" s="11">
        <v>1.5</v>
      </c>
    </row>
    <row r="3" spans="2:12" x14ac:dyDescent="0.25">
      <c r="B3" s="20" t="s">
        <v>6</v>
      </c>
      <c r="C3" s="20" t="s">
        <v>0</v>
      </c>
      <c r="D3" s="11">
        <v>13.5</v>
      </c>
      <c r="L3" s="10"/>
    </row>
    <row r="4" spans="2:12" x14ac:dyDescent="0.25">
      <c r="B4" s="20" t="s">
        <v>70</v>
      </c>
      <c r="C4" s="20" t="s">
        <v>10</v>
      </c>
      <c r="D4" s="34">
        <f>0.25*PI()*D2^2</f>
        <v>1.7671458676442586</v>
      </c>
    </row>
    <row r="5" spans="2:12" x14ac:dyDescent="0.25">
      <c r="B5" s="20" t="s">
        <v>71</v>
      </c>
      <c r="C5" s="20" t="s">
        <v>0</v>
      </c>
      <c r="D5" s="49">
        <f>12.7/1000</f>
        <v>1.2699999999999999E-2</v>
      </c>
    </row>
    <row r="6" spans="2:12" x14ac:dyDescent="0.25">
      <c r="B6" s="20" t="s">
        <v>72</v>
      </c>
      <c r="C6" s="20" t="s">
        <v>10</v>
      </c>
      <c r="D6" s="34">
        <f>0.25*PI()*(D2-2*D5)^2</f>
        <v>1.7078052350724704</v>
      </c>
    </row>
    <row r="7" spans="2:12" x14ac:dyDescent="0.25">
      <c r="D7" s="10"/>
    </row>
    <row r="8" spans="2:12" x14ac:dyDescent="0.25">
      <c r="B8" s="20" t="s">
        <v>73</v>
      </c>
      <c r="C8" s="20" t="s">
        <v>10</v>
      </c>
      <c r="D8" s="34">
        <f>D4-D6</f>
        <v>5.9340632571788232E-2</v>
      </c>
      <c r="F8" s="10"/>
    </row>
    <row r="9" spans="2:12" x14ac:dyDescent="0.25">
      <c r="B9" s="20" t="s">
        <v>74</v>
      </c>
      <c r="C9" s="20" t="s">
        <v>46</v>
      </c>
      <c r="D9" s="11">
        <v>7800</v>
      </c>
      <c r="G9" s="10"/>
    </row>
    <row r="10" spans="2:12" x14ac:dyDescent="0.25">
      <c r="B10" s="20" t="s">
        <v>75</v>
      </c>
      <c r="C10" s="20" t="s">
        <v>76</v>
      </c>
      <c r="D10" s="34">
        <f>D9*D8</f>
        <v>462.85693405994823</v>
      </c>
      <c r="G10" s="10"/>
    </row>
    <row r="11" spans="2:12" x14ac:dyDescent="0.25">
      <c r="D11" s="10"/>
      <c r="G11" s="10"/>
    </row>
    <row r="12" spans="2:12" x14ac:dyDescent="0.25">
      <c r="B12" s="20" t="s">
        <v>77</v>
      </c>
      <c r="C12" s="20" t="s">
        <v>78</v>
      </c>
      <c r="D12" s="11">
        <v>1</v>
      </c>
      <c r="F12" s="20" t="s">
        <v>78</v>
      </c>
      <c r="G12" s="10"/>
    </row>
    <row r="13" spans="2:12" x14ac:dyDescent="0.25">
      <c r="B13" s="20" t="s">
        <v>79</v>
      </c>
      <c r="C13" s="20" t="s">
        <v>11</v>
      </c>
      <c r="D13" s="10">
        <f>G13/2.2</f>
        <v>763.63636363636363</v>
      </c>
      <c r="F13" s="20" t="s">
        <v>7</v>
      </c>
      <c r="G13" s="20">
        <f>40*42</f>
        <v>1680</v>
      </c>
    </row>
    <row r="14" spans="2:12" x14ac:dyDescent="0.25">
      <c r="B14" s="20" t="s">
        <v>80</v>
      </c>
      <c r="C14" s="20" t="s">
        <v>0</v>
      </c>
      <c r="D14" s="10">
        <f>G14*25.4/1000</f>
        <v>2.032</v>
      </c>
      <c r="F14" s="20" t="s">
        <v>8</v>
      </c>
      <c r="G14" s="20">
        <v>80</v>
      </c>
    </row>
    <row r="15" spans="2:12" x14ac:dyDescent="0.25">
      <c r="B15" s="20" t="s">
        <v>81</v>
      </c>
      <c r="C15" s="20" t="s">
        <v>0</v>
      </c>
      <c r="D15" s="10">
        <f t="shared" ref="D15:D16" si="0">G15*25.4/1000</f>
        <v>0.48259999999999997</v>
      </c>
      <c r="F15" s="20" t="s">
        <v>8</v>
      </c>
      <c r="G15" s="20">
        <v>19</v>
      </c>
    </row>
    <row r="16" spans="2:12" x14ac:dyDescent="0.25">
      <c r="B16" s="20" t="s">
        <v>82</v>
      </c>
      <c r="C16" s="20" t="s">
        <v>0</v>
      </c>
      <c r="D16" s="10">
        <f t="shared" si="0"/>
        <v>1.0668</v>
      </c>
      <c r="F16" s="20" t="s">
        <v>8</v>
      </c>
      <c r="G16" s="20">
        <v>42</v>
      </c>
    </row>
    <row r="17" spans="2:7" x14ac:dyDescent="0.25">
      <c r="B17" s="20" t="s">
        <v>83</v>
      </c>
      <c r="C17" s="20" t="s">
        <v>10</v>
      </c>
      <c r="D17" s="10">
        <f>D15*D16</f>
        <v>0.51483767999999996</v>
      </c>
      <c r="G17" s="10"/>
    </row>
    <row r="18" spans="2:7" x14ac:dyDescent="0.25">
      <c r="B18" s="20" t="s">
        <v>84</v>
      </c>
      <c r="C18" s="20" t="s">
        <v>0</v>
      </c>
      <c r="D18" s="10">
        <f t="shared" ref="D18" si="1">G18*25.4/1000</f>
        <v>0.15239999999999998</v>
      </c>
      <c r="F18" s="20" t="s">
        <v>8</v>
      </c>
      <c r="G18" s="20">
        <v>6</v>
      </c>
    </row>
    <row r="19" spans="2:7" x14ac:dyDescent="0.25">
      <c r="B19" s="20" t="s">
        <v>85</v>
      </c>
      <c r="C19" s="20" t="s">
        <v>50</v>
      </c>
      <c r="D19" s="48">
        <v>0.4</v>
      </c>
    </row>
    <row r="20" spans="2:7" x14ac:dyDescent="0.25">
      <c r="B20" s="20" t="s">
        <v>86</v>
      </c>
      <c r="C20" s="20" t="s">
        <v>78</v>
      </c>
      <c r="D20" s="10">
        <f>ROUNDDOWN(D3/(D14+D18),0)</f>
        <v>6</v>
      </c>
      <c r="G20" s="10"/>
    </row>
    <row r="21" spans="2:7" x14ac:dyDescent="0.25">
      <c r="B21" s="20" t="s">
        <v>87</v>
      </c>
      <c r="C21" s="20" t="s">
        <v>78</v>
      </c>
      <c r="D21" s="50">
        <f>42*D20*D12</f>
        <v>252</v>
      </c>
    </row>
    <row r="22" spans="2:7" x14ac:dyDescent="0.25">
      <c r="D22" s="10"/>
    </row>
    <row r="23" spans="2:7" x14ac:dyDescent="0.25">
      <c r="B23" s="20" t="s">
        <v>88</v>
      </c>
      <c r="C23" s="20" t="s">
        <v>10</v>
      </c>
      <c r="D23" s="10">
        <f>D6-D17*D19</f>
        <v>1.5018701630724705</v>
      </c>
    </row>
    <row r="24" spans="2:7" x14ac:dyDescent="0.25">
      <c r="B24" s="20" t="s">
        <v>89</v>
      </c>
      <c r="C24" s="20" t="s">
        <v>46</v>
      </c>
      <c r="D24" s="10">
        <v>1.2509999999999999</v>
      </c>
    </row>
    <row r="25" spans="2:7" x14ac:dyDescent="0.25">
      <c r="B25" s="20" t="s">
        <v>90</v>
      </c>
      <c r="C25" s="20" t="s">
        <v>76</v>
      </c>
      <c r="D25" s="10">
        <f>D24*D23</f>
        <v>1.8788395740036603</v>
      </c>
    </row>
    <row r="26" spans="2:7" x14ac:dyDescent="0.25">
      <c r="D26" s="10"/>
    </row>
    <row r="27" spans="2:7" x14ac:dyDescent="0.25">
      <c r="B27" s="20" t="s">
        <v>45</v>
      </c>
      <c r="C27" s="20" t="s">
        <v>46</v>
      </c>
      <c r="D27" s="10">
        <v>1025</v>
      </c>
    </row>
    <row r="28" spans="2:7" x14ac:dyDescent="0.25">
      <c r="B28" s="20" t="s">
        <v>91</v>
      </c>
      <c r="C28" s="20" t="s">
        <v>43</v>
      </c>
      <c r="D28" s="10">
        <f>D4*D3</f>
        <v>23.856469213197492</v>
      </c>
    </row>
    <row r="29" spans="2:7" x14ac:dyDescent="0.25">
      <c r="B29" s="20" t="s">
        <v>92</v>
      </c>
      <c r="C29" s="20" t="s">
        <v>11</v>
      </c>
      <c r="D29" s="51">
        <f>D27*D28</f>
        <v>24452.880943527431</v>
      </c>
    </row>
    <row r="31" spans="2:7" x14ac:dyDescent="0.25">
      <c r="B31" s="20" t="s">
        <v>93</v>
      </c>
      <c r="C31" s="20" t="s">
        <v>11</v>
      </c>
      <c r="D31" s="52">
        <f>D25*D3</f>
        <v>25.364334249049413</v>
      </c>
    </row>
    <row r="32" spans="2:7" x14ac:dyDescent="0.25">
      <c r="B32" s="20" t="s">
        <v>94</v>
      </c>
      <c r="C32" s="20" t="s">
        <v>11</v>
      </c>
      <c r="D32" s="52">
        <f>D20*D12*D13</f>
        <v>4581.818181818182</v>
      </c>
    </row>
    <row r="33" spans="2:4" x14ac:dyDescent="0.25">
      <c r="B33" s="20" t="s">
        <v>95</v>
      </c>
      <c r="C33" s="20" t="s">
        <v>11</v>
      </c>
      <c r="D33" s="52">
        <f>D3*D10</f>
        <v>6248.5686098093011</v>
      </c>
    </row>
    <row r="34" spans="2:4" x14ac:dyDescent="0.25">
      <c r="D34" s="52"/>
    </row>
    <row r="36" spans="2:4" x14ac:dyDescent="0.25">
      <c r="B36" s="20" t="s">
        <v>20</v>
      </c>
      <c r="D36" s="52">
        <f>D29-D31-D32-D33</f>
        <v>13597.129817650899</v>
      </c>
    </row>
    <row r="38" spans="2:4" x14ac:dyDescent="0.25">
      <c r="B38" s="20" t="s">
        <v>96</v>
      </c>
      <c r="C38" s="20" t="s">
        <v>97</v>
      </c>
      <c r="D38" s="53">
        <v>10</v>
      </c>
    </row>
    <row r="40" spans="2:4" x14ac:dyDescent="0.25">
      <c r="B40" s="20" t="s">
        <v>98</v>
      </c>
      <c r="D40" s="54">
        <f>D38*D33</f>
        <v>62485.686098093007</v>
      </c>
    </row>
    <row r="43" spans="2:4" x14ac:dyDescent="0.25">
      <c r="B43" s="20" t="s">
        <v>99</v>
      </c>
      <c r="C43" s="20" t="s">
        <v>3</v>
      </c>
      <c r="D43" s="55">
        <f>SUM(D31:D33)*9.81/1000</f>
        <v>106.4949185448488</v>
      </c>
    </row>
    <row r="44" spans="2:4" x14ac:dyDescent="0.25">
      <c r="B44" s="20" t="s">
        <v>100</v>
      </c>
      <c r="C44" s="20" t="s">
        <v>3</v>
      </c>
      <c r="D44" s="55">
        <f>D29*9.81/1000</f>
        <v>239.88276205600411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Weights &amp; Centers Summary</vt:lpstr>
      <vt:lpstr>Keel</vt:lpstr>
      <vt:lpstr>Buoyancy Pod</vt:lpstr>
      <vt:lpstr>DataSub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Swales</dc:creator>
  <cp:lastModifiedBy>Henry Swales</cp:lastModifiedBy>
  <cp:lastPrinted>2013-11-28T02:25:30Z</cp:lastPrinted>
  <dcterms:created xsi:type="dcterms:W3CDTF">2013-09-24T00:26:52Z</dcterms:created>
  <dcterms:modified xsi:type="dcterms:W3CDTF">2014-10-30T00:33:26Z</dcterms:modified>
</cp:coreProperties>
</file>